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Assumptions" sheetId="1" state="visible" r:id="rId1"/>
    <sheet xmlns:r="http://schemas.openxmlformats.org/officeDocument/2006/relationships" name="02_Cash_Flows" sheetId="2" state="visible" r:id="rId2"/>
    <sheet xmlns:r="http://schemas.openxmlformats.org/officeDocument/2006/relationships" name="03_Valuation" sheetId="3" state="visible" r:id="rId3"/>
    <sheet xmlns:r="http://schemas.openxmlformats.org/officeDocument/2006/relationships" name="04_Sensitivities_KRD" sheetId="4" state="visible" r:id="rId4"/>
    <sheet xmlns:r="http://schemas.openxmlformats.org/officeDocument/2006/relationships" name="05_Earnings_Spread" sheetId="5" state="visible" r:id="rId5"/>
    <sheet xmlns:r="http://schemas.openxmlformats.org/officeDocument/2006/relationships" name="06_Executive_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2">
    <numFmt numFmtId="164" formatCode="$#,##0.00&quot;M&quot;"/>
    <numFmt numFmtId="165" formatCode="0.0%"/>
    <numFmt numFmtId="166" formatCode="0.0&quot; bps&quot;"/>
    <numFmt numFmtId="167" formatCode="0&quot; bps&quot;"/>
    <numFmt numFmtId="168" formatCode="0.000000"/>
    <numFmt numFmtId="169" formatCode="+0.00%;-0.00%"/>
    <numFmt numFmtId="170" formatCode="0.0000"/>
    <numFmt numFmtId="171" formatCode="$#,##0.0000&quot;M&quot;"/>
    <numFmt numFmtId="172" formatCode="0.0000&quot; yrs&quot;"/>
    <numFmt numFmtId="173" formatCode="+$#,##0.0000&quot;M&quot;;-$#,##0.0000&quot;M&quot;"/>
    <numFmt numFmtId="174" formatCode="+$#,##0.0&quot;K/bp&quot;;-$#,##0.0&quot;K/bp&quot;"/>
    <numFmt numFmtId="175" formatCode="0.00&quot; y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FFFFFF"/>
      <sz val="11"/>
    </font>
    <font>
      <name val="Calibri"/>
      <b val="1"/>
      <color rgb="00000000"/>
      <sz val="10"/>
    </font>
    <font>
      <name val="Calibri"/>
      <b val="1"/>
      <color rgb="00002060"/>
      <sz val="10"/>
    </font>
    <font>
      <name val="Calibri"/>
      <color rgb="00000000"/>
      <sz val="10"/>
    </font>
    <font>
      <name val="Calibri"/>
      <i val="1"/>
      <color rgb="0094A3B8"/>
      <sz val="10"/>
    </font>
    <font>
      <name val="Calibri"/>
      <b val="1"/>
      <color rgb="00FFFFFF"/>
      <sz val="10"/>
    </font>
    <font>
      <name val="Calibri"/>
      <b val="1"/>
      <color rgb="0064748B"/>
      <sz val="9"/>
    </font>
    <font>
      <name val="Calibri"/>
      <b val="1"/>
      <color rgb="000F172A"/>
      <sz val="16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0F4C81"/>
        <bgColor rgb="000F4C81"/>
      </patternFill>
    </fill>
    <fill>
      <patternFill patternType="solid">
        <fgColor rgb="00FFF2CC"/>
        <bgColor rgb="00FFF2CC"/>
      </patternFill>
    </fill>
    <fill>
      <patternFill patternType="solid">
        <fgColor rgb="00E0F2FE"/>
        <bgColor rgb="00E0F2FE"/>
      </patternFill>
    </fill>
    <fill>
      <patternFill patternType="solid">
        <fgColor rgb="00F8FAFC"/>
        <bgColor rgb="00F8FAFC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top style="thin">
        <color rgb="00000000"/>
      </top>
      <bottom style="double">
        <color rgb="00000000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pivotButton="0" quotePrefix="0" xfId="0"/>
    <xf numFmtId="0" fontId="3" fillId="0" borderId="1" pivotButton="0" quotePrefix="0" xfId="0"/>
    <xf numFmtId="164" fontId="4" fillId="4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pivotButton="0" quotePrefix="0" xfId="0"/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right" vertical="center"/>
    </xf>
    <xf numFmtId="0" fontId="7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2" pivotButton="0" quotePrefix="0" xfId="0"/>
    <xf numFmtId="10" fontId="3" fillId="0" borderId="2" applyAlignment="1" pivotButton="0" quotePrefix="0" xfId="0">
      <alignment horizontal="right" vertical="center"/>
    </xf>
    <xf numFmtId="165" fontId="3" fillId="0" borderId="2" applyAlignment="1" pivotButton="0" quotePrefix="0" xfId="0">
      <alignment horizontal="right" vertical="center"/>
    </xf>
    <xf numFmtId="166" fontId="3" fillId="0" borderId="2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0" fontId="1" fillId="2" borderId="0" pivotButton="0" quotePrefix="0" xfId="0"/>
    <xf numFmtId="10" fontId="5" fillId="0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164" fontId="3" fillId="0" borderId="2" applyAlignment="1" pivotButton="0" quotePrefix="0" xfId="0">
      <alignment horizontal="right" vertical="center"/>
    </xf>
    <xf numFmtId="168" fontId="5" fillId="0" borderId="1" applyAlignment="1" pivotButton="0" quotePrefix="0" xfId="0">
      <alignment horizontal="right" vertical="center"/>
    </xf>
    <xf numFmtId="0" fontId="5" fillId="0" borderId="0" pivotButton="0" quotePrefix="0" xfId="0"/>
    <xf numFmtId="10" fontId="3" fillId="0" borderId="1" applyAlignment="1" pivotButton="0" quotePrefix="0" xfId="0">
      <alignment horizontal="right" vertical="center"/>
    </xf>
    <xf numFmtId="169" fontId="3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70" fontId="3" fillId="5" borderId="1" applyAlignment="1" pivotButton="0" quotePrefix="0" xfId="0">
      <alignment horizontal="right" vertical="center"/>
    </xf>
    <xf numFmtId="171" fontId="3" fillId="0" borderId="1" applyAlignment="1" pivotButton="0" quotePrefix="0" xfId="0">
      <alignment horizontal="right" vertical="center"/>
    </xf>
    <xf numFmtId="170" fontId="3" fillId="0" borderId="2" applyAlignment="1" pivotButton="0" quotePrefix="0" xfId="0">
      <alignment horizontal="right" vertical="center"/>
    </xf>
    <xf numFmtId="171" fontId="3" fillId="0" borderId="2" applyAlignment="1" pivotButton="0" quotePrefix="0" xfId="0">
      <alignment horizontal="right" vertical="center"/>
    </xf>
    <xf numFmtId="172" fontId="3" fillId="0" borderId="1" applyAlignment="1" pivotButton="0" quotePrefix="0" xfId="0">
      <alignment horizontal="right" vertical="center"/>
    </xf>
    <xf numFmtId="170" fontId="3" fillId="0" borderId="1" applyAlignment="1" pivotButton="0" quotePrefix="0" xfId="0">
      <alignment horizontal="right" vertical="center"/>
    </xf>
    <xf numFmtId="173" fontId="3" fillId="0" borderId="1" applyAlignment="1" pivotButton="0" quotePrefix="0" xfId="0">
      <alignment horizontal="right" vertical="center"/>
    </xf>
    <xf numFmtId="174" fontId="3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9" fontId="3" fillId="5" borderId="1" applyAlignment="1" pivotButton="0" quotePrefix="0" xfId="0">
      <alignment horizontal="right" vertical="center"/>
    </xf>
    <xf numFmtId="49" fontId="3" fillId="0" borderId="1" applyAlignment="1" pivotButton="0" quotePrefix="0" xfId="0">
      <alignment horizontal="right" vertical="center"/>
    </xf>
    <xf numFmtId="0" fontId="8" fillId="6" borderId="1" applyAlignment="1" pivotButton="0" quotePrefix="0" xfId="0">
      <alignment horizontal="center" vertical="center"/>
    </xf>
    <xf numFmtId="0" fontId="0" fillId="0" borderId="1" pivotButton="0" quotePrefix="0" xfId="0"/>
    <xf numFmtId="164" fontId="9" fillId="6" borderId="1" applyAlignment="1" pivotButton="0" quotePrefix="0" xfId="0">
      <alignment horizontal="center" vertical="center"/>
    </xf>
    <xf numFmtId="10" fontId="9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175" fontId="9" fillId="6" borderId="1" applyAlignment="1" pivotButton="0" quotePrefix="0" xfId="0">
      <alignment horizontal="center" vertical="center"/>
    </xf>
    <xf numFmtId="174" fontId="9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24" customWidth="1" min="3" max="3"/>
    <col width="24" customWidth="1" min="4" max="4"/>
    <col width="24" customWidth="1" min="5" max="5"/>
  </cols>
  <sheetData>
    <row r="1" ht="32" customHeight="1">
      <c r="A1" s="1" t="inlineStr">
        <is>
          <t>🏦 Institutional Balance Sheet &amp; Market Risk Assumptions Template</t>
        </is>
      </c>
    </row>
    <row r="3">
      <c r="A3" s="2" t="inlineStr">
        <is>
          <t>A. PORTFOLIO BASELINE SPECIFICATION</t>
        </is>
      </c>
    </row>
    <row r="4">
      <c r="A4" s="3" t="inlineStr">
        <is>
          <t>Asset Base Economic Value ($M)</t>
        </is>
      </c>
      <c r="B4" s="4" t="n">
        <v>1000</v>
      </c>
      <c r="C4" s="5" t="inlineStr">
        <is>
          <t>USD Millions</t>
        </is>
      </c>
      <c r="D4" s="6" t="inlineStr">
        <is>
          <t>[$100.00M, $100,000.00M]</t>
        </is>
      </c>
      <c r="E4" s="7" t="inlineStr">
        <is>
          <t>General Ledger / Treasury Asset Register</t>
        </is>
      </c>
      <c r="F4" s="8" t="inlineStr">
        <is>
          <t>Target institutional asset base under ALM management</t>
        </is>
      </c>
    </row>
    <row r="5">
      <c r="A5" s="3" t="inlineStr">
        <is>
          <t>Target Liability Leverage Ratio</t>
        </is>
      </c>
      <c r="B5" s="9" t="n">
        <v>0.9</v>
      </c>
      <c r="C5" s="5" t="inlineStr">
        <is>
          <t>percent</t>
        </is>
      </c>
      <c r="D5" s="6" t="inlineStr">
        <is>
          <t>[10.0%, 99.0%]</t>
        </is>
      </c>
      <c r="E5" s="7" t="inlineStr">
        <is>
          <t>ALCO Capital &amp; Leverage Framework</t>
        </is>
      </c>
      <c r="F5" s="8" t="inlineStr">
        <is>
          <t>Target debt, deposit, or policyholder funding volume ($900.00M)</t>
        </is>
      </c>
    </row>
    <row r="6">
      <c r="A6" s="7" t="inlineStr">
        <is>
          <t>Asset Credit Spread (bps)</t>
        </is>
      </c>
      <c r="B6" s="10" t="n">
        <v>125</v>
      </c>
      <c r="C6" s="5" t="inlineStr">
        <is>
          <t>basis points</t>
        </is>
      </c>
      <c r="D6" s="6" t="inlineStr">
        <is>
          <t>[0.0, 1,000.0]</t>
        </is>
      </c>
      <c r="E6" s="7" t="inlineStr">
        <is>
          <t>Bloomberg/ICE US Corporate IG Index</t>
        </is>
      </c>
      <c r="F6" s="8" t="inlineStr">
        <is>
          <t>Weighted OAS credit spread over benchmark risk-free spot curve</t>
        </is>
      </c>
    </row>
    <row r="7">
      <c r="A7" s="7" t="inlineStr">
        <is>
          <t>Asset Contractual Earned Yield (%)</t>
        </is>
      </c>
      <c r="B7" s="11" t="n">
        <v>0.0625</v>
      </c>
      <c r="C7" s="5" t="inlineStr">
        <is>
          <t>percent</t>
        </is>
      </c>
      <c r="D7" s="6" t="inlineStr">
        <is>
          <t>[0.00%, 25.00%]</t>
        </is>
      </c>
      <c r="E7" s="7" t="inlineStr">
        <is>
          <t>Portfolio Accounting &amp; Coupon Ledger</t>
        </is>
      </c>
      <c r="F7" s="8" t="inlineStr">
        <is>
          <t>Weighted annual contractual coupon and income generation yield</t>
        </is>
      </c>
    </row>
    <row r="8">
      <c r="A8" s="7" t="inlineStr">
        <is>
          <t>Funding / Liability Cost (%)</t>
        </is>
      </c>
      <c r="B8" s="11" t="n">
        <v>0.04</v>
      </c>
      <c r="C8" s="5" t="inlineStr">
        <is>
          <t>percent</t>
        </is>
      </c>
      <c r="D8" s="6" t="inlineStr">
        <is>
          <t>[0.00%, 25.00%]</t>
        </is>
      </c>
      <c r="E8" s="7" t="inlineStr">
        <is>
          <t>Treasury Deposit &amp; Debt Pricing Schedule</t>
        </is>
      </c>
      <c r="F8" s="8" t="inlineStr">
        <is>
          <t>Weighted annual interest expense paid on liabilities and deposits</t>
        </is>
      </c>
    </row>
    <row r="10">
      <c r="A10" s="2" t="inlineStr">
        <is>
          <t>B. BENCHMARK TERM STRUCTURE &amp; PV WEIGHTS (Inputs &amp; Active Shocks)</t>
        </is>
      </c>
    </row>
    <row r="11">
      <c r="A11" s="12" t="inlineStr">
        <is>
          <t>Tenor (yrs)</t>
        </is>
      </c>
      <c r="B11" s="12" t="inlineStr">
        <is>
          <t>Spot Rate (rf)</t>
        </is>
      </c>
      <c r="C11" s="12" t="inlineStr">
        <is>
          <t>Asset Weight (w_A)</t>
        </is>
      </c>
      <c r="D11" s="12" t="inlineStr">
        <is>
          <t>Liability Weight (w_L)</t>
        </is>
      </c>
      <c r="E11" s="12" t="inlineStr">
        <is>
          <t>Active Rate Shock (bps)</t>
        </is>
      </c>
      <c r="F11" s="12" t="inlineStr">
        <is>
          <t>Benchmark Lineage &amp; Rationale</t>
        </is>
      </c>
    </row>
    <row r="12">
      <c r="A12" s="13" t="n">
        <v>1</v>
      </c>
      <c r="B12" s="11" t="n">
        <v>0.045</v>
      </c>
      <c r="C12" s="9" t="n">
        <v>0.15</v>
      </c>
      <c r="D12" s="9" t="n">
        <v>0.08</v>
      </c>
      <c r="E12" s="10" t="n">
        <v>0</v>
      </c>
      <c r="F12" s="8" t="inlineStr">
        <is>
          <t>US Treasury H.15 1Y Constant Maturity | Money Market Liquidity Layer</t>
        </is>
      </c>
    </row>
    <row r="13">
      <c r="A13" s="13" t="n">
        <v>3</v>
      </c>
      <c r="B13" s="11" t="n">
        <v>0.0425</v>
      </c>
      <c r="C13" s="9" t="n">
        <v>0.2</v>
      </c>
      <c r="D13" s="9" t="n">
        <v>0.17</v>
      </c>
      <c r="E13" s="10" t="n">
        <v>0</v>
      </c>
      <c r="F13" s="8" t="inlineStr">
        <is>
          <t>US Treasury H.15 3Y Constant Maturity | Short-Intermediate Liquidity</t>
        </is>
      </c>
    </row>
    <row r="14">
      <c r="A14" s="13" t="n">
        <v>5</v>
      </c>
      <c r="B14" s="11" t="n">
        <v>0.0415</v>
      </c>
      <c r="C14" s="9" t="n">
        <v>0.3</v>
      </c>
      <c r="D14" s="9" t="n">
        <v>0.25</v>
      </c>
      <c r="E14" s="10" t="n">
        <v>0</v>
      </c>
      <c r="F14" s="8" t="inlineStr">
        <is>
          <t>US Treasury H.15 5Y Constant Maturity | Core ALM Asset Anchor</t>
        </is>
      </c>
    </row>
    <row r="15">
      <c r="A15" s="13" t="n">
        <v>7</v>
      </c>
      <c r="B15" s="11" t="n">
        <v>0.042</v>
      </c>
      <c r="C15" s="9" t="n">
        <v>0.2</v>
      </c>
      <c r="D15" s="9" t="n">
        <v>0.25</v>
      </c>
      <c r="E15" s="10" t="n">
        <v>0</v>
      </c>
      <c r="F15" s="8" t="inlineStr">
        <is>
          <t>US Treasury H.15 7Y Constant Maturity | Intermediate Liability Duration</t>
        </is>
      </c>
    </row>
    <row r="16">
      <c r="A16" s="13" t="n">
        <v>10</v>
      </c>
      <c r="B16" s="11" t="n">
        <v>0.0435</v>
      </c>
      <c r="C16" s="9" t="n">
        <v>0.15</v>
      </c>
      <c r="D16" s="9" t="n">
        <v>0.25</v>
      </c>
      <c r="E16" s="10" t="n">
        <v>0</v>
      </c>
      <c r="F16" s="8" t="inlineStr">
        <is>
          <t>US Treasury H.15 10Y Constant Maturity | Long-Duration Liability Matching</t>
        </is>
      </c>
    </row>
    <row r="17">
      <c r="A17" s="14" t="inlineStr">
        <is>
          <t>TOTAL / WTD</t>
        </is>
      </c>
      <c r="B17" s="15">
        <f>SUMPRODUCT(B12:B16, C12:C16)</f>
        <v/>
      </c>
      <c r="C17" s="16">
        <f>SUM(C12:C16)</f>
        <v/>
      </c>
      <c r="D17" s="16">
        <f>SUM(D12:D16)</f>
        <v/>
      </c>
      <c r="E17" s="17">
        <f>AVERAGE(E12:E16)</f>
        <v/>
      </c>
      <c r="F17" s="14" t="inlineStr">
        <is>
          <t>100% Cash-Flow Reconstitution Verification</t>
        </is>
      </c>
    </row>
    <row r="19">
      <c r="A19" s="2" t="inlineStr">
        <is>
          <t>C. VALUATION &amp; SPREAD ACTIVE SHOCKS (Inputs)</t>
        </is>
      </c>
    </row>
    <row r="20">
      <c r="A20" s="7" t="inlineStr">
        <is>
          <t>Asset Credit Spread Shock (bps)</t>
        </is>
      </c>
      <c r="B20" s="10" t="n">
        <v>0</v>
      </c>
      <c r="C20" s="5" t="inlineStr">
        <is>
          <t>basis points</t>
        </is>
      </c>
      <c r="D20" s="6" t="inlineStr">
        <is>
          <t>[-500.0, 1,000.0]</t>
        </is>
      </c>
      <c r="E20" s="7" t="inlineStr">
        <is>
          <t>Credit Rating Transition &amp; Spread Widening Shock</t>
        </is>
      </c>
      <c r="F20" s="8" t="inlineStr">
        <is>
          <t>Direct widening/tightening added to asset valuation discount curve</t>
        </is>
      </c>
    </row>
    <row r="21">
      <c r="A21" s="7" t="inlineStr">
        <is>
          <t>Asset Earned Yield Shock (bps)</t>
        </is>
      </c>
      <c r="B21" s="10" t="n">
        <v>0</v>
      </c>
      <c r="C21" s="5" t="inlineStr">
        <is>
          <t>basis points</t>
        </is>
      </c>
      <c r="D21" s="6" t="inlineStr">
        <is>
          <t>[-500.0, 1,000.0]</t>
        </is>
      </c>
      <c r="E21" s="7" t="inlineStr">
        <is>
          <t>ALCO Accrual Rate Revision</t>
        </is>
      </c>
      <c r="F21" s="8" t="inlineStr">
        <is>
          <t>Contractual yield adjustment impacting annual gross asset income</t>
        </is>
      </c>
    </row>
    <row r="22">
      <c r="A22" s="7" t="inlineStr">
        <is>
          <t>Funding / Liability Cost Shock (bps)</t>
        </is>
      </c>
      <c r="B22" s="10" t="n">
        <v>0</v>
      </c>
      <c r="C22" s="5" t="inlineStr">
        <is>
          <t>basis points</t>
        </is>
      </c>
      <c r="D22" s="6" t="inlineStr">
        <is>
          <t>[-500.0, 1,000.0]</t>
        </is>
      </c>
      <c r="E22" s="7" t="inlineStr">
        <is>
          <t>Deposit Beta &amp; Funding Cost Escalation</t>
        </is>
      </c>
      <c r="F22" s="8" t="inlineStr">
        <is>
          <t>Interest expense shock impacting annual interest expense and NII</t>
        </is>
      </c>
    </row>
    <row r="24">
      <c r="A24" s="2" t="inlineStr">
        <is>
          <t>D. PRE-CONFIGURED MACRO SCENARIOS REFERENCE MATRIX</t>
        </is>
      </c>
    </row>
    <row r="25">
      <c r="A25" s="12" t="inlineStr">
        <is>
          <t>Scenario ID</t>
        </is>
      </c>
      <c r="B25" s="12" t="inlineStr">
        <is>
          <t>1Y (bps)</t>
        </is>
      </c>
      <c r="C25" s="12" t="inlineStr">
        <is>
          <t>3Y (bps)</t>
        </is>
      </c>
      <c r="D25" s="12" t="inlineStr">
        <is>
          <t>5Y (bps)</t>
        </is>
      </c>
      <c r="E25" s="12" t="inlineStr">
        <is>
          <t>7Y (bps)</t>
        </is>
      </c>
      <c r="F25" s="12" t="inlineStr">
        <is>
          <t>10Y (bps)</t>
        </is>
      </c>
      <c r="G25" s="12" t="inlineStr">
        <is>
          <t>Spread Shock</t>
        </is>
      </c>
      <c r="H25" s="12" t="inlineStr">
        <is>
          <t>Funding Shock</t>
        </is>
      </c>
    </row>
    <row r="26">
      <c r="A26" s="3" t="inlineStr">
        <is>
          <t>SCN_BASE (Steady State)</t>
        </is>
      </c>
      <c r="B26" s="18" t="n">
        <v>0</v>
      </c>
      <c r="C26" s="18" t="n">
        <v>0</v>
      </c>
      <c r="D26" s="18" t="n">
        <v>0</v>
      </c>
      <c r="E26" s="18" t="n">
        <v>0</v>
      </c>
      <c r="F26" s="18" t="n">
        <v>0</v>
      </c>
      <c r="G26" s="18" t="n">
        <v>0</v>
      </c>
      <c r="H26" s="18" t="n">
        <v>0</v>
      </c>
    </row>
    <row r="27">
      <c r="A27" s="3" t="inlineStr">
        <is>
          <t>SCN_HIKE (Parallel +200)</t>
        </is>
      </c>
      <c r="B27" s="18" t="n">
        <v>200</v>
      </c>
      <c r="C27" s="18" t="n">
        <v>200</v>
      </c>
      <c r="D27" s="18" t="n">
        <v>200</v>
      </c>
      <c r="E27" s="18" t="n">
        <v>200</v>
      </c>
      <c r="F27" s="18" t="n">
        <v>200</v>
      </c>
      <c r="G27" s="18" t="n">
        <v>0</v>
      </c>
      <c r="H27" s="18" t="n">
        <v>0</v>
      </c>
    </row>
    <row r="28">
      <c r="A28" s="3" t="inlineStr">
        <is>
          <t>SCN_EASING (Recession -100)</t>
        </is>
      </c>
      <c r="B28" s="18" t="n">
        <v>-100</v>
      </c>
      <c r="C28" s="18" t="n">
        <v>-100</v>
      </c>
      <c r="D28" s="18" t="n">
        <v>-100</v>
      </c>
      <c r="E28" s="18" t="n">
        <v>-100</v>
      </c>
      <c r="F28" s="18" t="n">
        <v>-100</v>
      </c>
      <c r="G28" s="18" t="n">
        <v>0</v>
      </c>
      <c r="H28" s="18" t="n">
        <v>-25</v>
      </c>
    </row>
    <row r="29">
      <c r="A29" s="3" t="inlineStr">
        <is>
          <t>SCN_INVERSION (+150/-25)</t>
        </is>
      </c>
      <c r="B29" s="18" t="n">
        <v>150</v>
      </c>
      <c r="C29" s="18" t="n">
        <v>100</v>
      </c>
      <c r="D29" s="18" t="n">
        <v>50</v>
      </c>
      <c r="E29" s="18" t="n">
        <v>0</v>
      </c>
      <c r="F29" s="18" t="n">
        <v>-25</v>
      </c>
      <c r="G29" s="18" t="n">
        <v>25</v>
      </c>
      <c r="H29" s="18" t="n">
        <v>100</v>
      </c>
    </row>
    <row r="30">
      <c r="A30" s="3" t="inlineStr">
        <is>
          <t>SCN_STEEPENER (+25/+200)</t>
        </is>
      </c>
      <c r="B30" s="18" t="n">
        <v>25</v>
      </c>
      <c r="C30" s="18" t="n">
        <v>50</v>
      </c>
      <c r="D30" s="18" t="n">
        <v>100</v>
      </c>
      <c r="E30" s="18" t="n">
        <v>150</v>
      </c>
      <c r="F30" s="18" t="n">
        <v>200</v>
      </c>
      <c r="G30" s="18" t="n">
        <v>25</v>
      </c>
      <c r="H30" s="18" t="n">
        <v>25</v>
      </c>
    </row>
    <row r="31">
      <c r="A31" s="3" t="inlineStr">
        <is>
          <t>SCN_STAGFLATION (+150 spread)</t>
        </is>
      </c>
      <c r="B31" s="18" t="n">
        <v>250</v>
      </c>
      <c r="C31" s="18" t="n">
        <v>225</v>
      </c>
      <c r="D31" s="18" t="n">
        <v>200</v>
      </c>
      <c r="E31" s="18" t="n">
        <v>175</v>
      </c>
      <c r="F31" s="18" t="n">
        <v>150</v>
      </c>
      <c r="G31" s="18" t="n">
        <v>150</v>
      </c>
      <c r="H31" s="18" t="n">
        <v>125</v>
      </c>
    </row>
  </sheetData>
  <mergeCells count="5">
    <mergeCell ref="A10:F10"/>
    <mergeCell ref="A19:F19"/>
    <mergeCell ref="A24:H24"/>
    <mergeCell ref="A1:H1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6" customWidth="1" min="5" max="5"/>
    <col width="26" customWidth="1" min="7" max="7"/>
    <col width="22" customWidth="1" min="8" max="8"/>
  </cols>
  <sheetData>
    <row r="1" ht="32" customHeight="1">
      <c r="A1" s="19" t="inlineStr">
        <is>
          <t>💰 Scheduled Nominal Cash-Flow Reconstitution Engine</t>
        </is>
      </c>
    </row>
    <row r="3">
      <c r="A3" s="2" t="inlineStr">
        <is>
          <t>CONTRACTUAL CASH-FLOW RECONSTRUCTION FROM PV ALLOCATION WEIGHTS</t>
        </is>
      </c>
    </row>
    <row r="4">
      <c r="A4" s="12" t="inlineStr">
        <is>
          <t>Tenor (t)</t>
        </is>
      </c>
      <c r="B4" s="12" t="inlineStr">
        <is>
          <t>Benchmark (rf)</t>
        </is>
      </c>
      <c r="C4" s="12" t="inlineStr">
        <is>
          <t>Asset Spread</t>
        </is>
      </c>
      <c r="D4" s="12" t="inlineStr">
        <is>
          <t>Asset Disc Rate (r_A)</t>
        </is>
      </c>
      <c r="E4" s="12" t="inlineStr">
        <is>
          <t>Reconstructed Asset CF ($M)</t>
        </is>
      </c>
      <c r="F4" s="12" t="inlineStr">
        <is>
          <t>Liab Disc Rate (r_L)</t>
        </is>
      </c>
      <c r="G4" s="12" t="inlineStr">
        <is>
          <t>Reconstructed Liab CF ($M)</t>
        </is>
      </c>
      <c r="H4" s="12" t="inlineStr">
        <is>
          <t>Net Nominal Gap ($M)</t>
        </is>
      </c>
    </row>
    <row r="5">
      <c r="A5" s="13">
        <f>'01_Assumptions'!A12</f>
        <v/>
      </c>
      <c r="B5" s="20">
        <f>'01_Assumptions'!B12</f>
        <v/>
      </c>
      <c r="C5" s="20">
        <f>'01_Assumptions'!$B$6/10000</f>
        <v/>
      </c>
      <c r="D5" s="20">
        <f>B5+C5</f>
        <v/>
      </c>
      <c r="E5" s="21">
        <f>'01_Assumptions'!$B$4 * '01_Assumptions'!C12 * (1 + D5)^A5</f>
        <v/>
      </c>
      <c r="F5" s="20">
        <f>B5</f>
        <v/>
      </c>
      <c r="G5" s="21">
        <f>'01_Assumptions'!$B$4 * '01_Assumptions'!$B$5 * '01_Assumptions'!D12 * (1 + F5)^A5</f>
        <v/>
      </c>
      <c r="H5" s="22">
        <f>E5-G5</f>
        <v/>
      </c>
    </row>
    <row r="6">
      <c r="A6" s="13">
        <f>'01_Assumptions'!A13</f>
        <v/>
      </c>
      <c r="B6" s="20">
        <f>'01_Assumptions'!B13</f>
        <v/>
      </c>
      <c r="C6" s="20">
        <f>'01_Assumptions'!$B$6/10000</f>
        <v/>
      </c>
      <c r="D6" s="20">
        <f>B6+C6</f>
        <v/>
      </c>
      <c r="E6" s="21">
        <f>'01_Assumptions'!$B$4 * '01_Assumptions'!C13 * (1 + D6)^A6</f>
        <v/>
      </c>
      <c r="F6" s="20">
        <f>B6</f>
        <v/>
      </c>
      <c r="G6" s="21">
        <f>'01_Assumptions'!$B$4 * '01_Assumptions'!$B$5 * '01_Assumptions'!D13 * (1 + F6)^A6</f>
        <v/>
      </c>
      <c r="H6" s="22">
        <f>E6-G6</f>
        <v/>
      </c>
    </row>
    <row r="7">
      <c r="A7" s="13">
        <f>'01_Assumptions'!A14</f>
        <v/>
      </c>
      <c r="B7" s="20">
        <f>'01_Assumptions'!B14</f>
        <v/>
      </c>
      <c r="C7" s="20">
        <f>'01_Assumptions'!$B$6/10000</f>
        <v/>
      </c>
      <c r="D7" s="20">
        <f>B7+C7</f>
        <v/>
      </c>
      <c r="E7" s="21">
        <f>'01_Assumptions'!$B$4 * '01_Assumptions'!C14 * (1 + D7)^A7</f>
        <v/>
      </c>
      <c r="F7" s="20">
        <f>B7</f>
        <v/>
      </c>
      <c r="G7" s="21">
        <f>'01_Assumptions'!$B$4 * '01_Assumptions'!$B$5 * '01_Assumptions'!D14 * (1 + F7)^A7</f>
        <v/>
      </c>
      <c r="H7" s="22">
        <f>E7-G7</f>
        <v/>
      </c>
    </row>
    <row r="8">
      <c r="A8" s="13">
        <f>'01_Assumptions'!A15</f>
        <v/>
      </c>
      <c r="B8" s="20">
        <f>'01_Assumptions'!B15</f>
        <v/>
      </c>
      <c r="C8" s="20">
        <f>'01_Assumptions'!$B$6/10000</f>
        <v/>
      </c>
      <c r="D8" s="20">
        <f>B8+C8</f>
        <v/>
      </c>
      <c r="E8" s="21">
        <f>'01_Assumptions'!$B$4 * '01_Assumptions'!C15 * (1 + D8)^A8</f>
        <v/>
      </c>
      <c r="F8" s="20">
        <f>B8</f>
        <v/>
      </c>
      <c r="G8" s="21">
        <f>'01_Assumptions'!$B$4 * '01_Assumptions'!$B$5 * '01_Assumptions'!D15 * (1 + F8)^A8</f>
        <v/>
      </c>
      <c r="H8" s="22">
        <f>E8-G8</f>
        <v/>
      </c>
    </row>
    <row r="9">
      <c r="A9" s="13">
        <f>'01_Assumptions'!A16</f>
        <v/>
      </c>
      <c r="B9" s="20">
        <f>'01_Assumptions'!B16</f>
        <v/>
      </c>
      <c r="C9" s="20">
        <f>'01_Assumptions'!$B$6/10000</f>
        <v/>
      </c>
      <c r="D9" s="20">
        <f>B9+C9</f>
        <v/>
      </c>
      <c r="E9" s="21">
        <f>'01_Assumptions'!$B$4 * '01_Assumptions'!C16 * (1 + D9)^A9</f>
        <v/>
      </c>
      <c r="F9" s="20">
        <f>B9</f>
        <v/>
      </c>
      <c r="G9" s="21">
        <f>'01_Assumptions'!$B$4 * '01_Assumptions'!$B$5 * '01_Assumptions'!D16 * (1 + F9)^A9</f>
        <v/>
      </c>
      <c r="H9" s="22">
        <f>E9-G9</f>
        <v/>
      </c>
    </row>
    <row r="10">
      <c r="A10" s="14" t="inlineStr">
        <is>
          <t>TOTAL SCHEDULED</t>
        </is>
      </c>
      <c r="B10" s="23" t="inlineStr">
        <is>
          <t>—</t>
        </is>
      </c>
      <c r="C10" s="23" t="inlineStr">
        <is>
          <t>—</t>
        </is>
      </c>
      <c r="D10" s="23" t="inlineStr">
        <is>
          <t>—</t>
        </is>
      </c>
      <c r="E10" s="24">
        <f>SUM(E5:E9)</f>
        <v/>
      </c>
      <c r="F10" s="23" t="inlineStr">
        <is>
          <t>—</t>
        </is>
      </c>
      <c r="G10" s="24">
        <f>SUM(G5:G9)</f>
        <v/>
      </c>
      <c r="H10" s="24">
        <f>SUM(H5:H9)</f>
        <v/>
      </c>
    </row>
  </sheetData>
  <mergeCells count="2">
    <mergeCell ref="A3:H3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4" customWidth="1" min="6" max="6"/>
    <col width="24" customWidth="1" min="7" max="7"/>
    <col width="22" customWidth="1" min="8" max="8"/>
  </cols>
  <sheetData>
    <row r="1" ht="32" customHeight="1">
      <c r="A1" s="19" t="inlineStr">
        <is>
          <t>📊 Mark-to-Market Valuation &amp; Economic Solvency Matrix</t>
        </is>
      </c>
    </row>
    <row r="3">
      <c r="A3" s="2" t="inlineStr">
        <is>
          <t>STRESSED DISCOUNTING &amp; PRESENT VALUE CALCULATION</t>
        </is>
      </c>
    </row>
    <row r="4">
      <c r="A4" s="12" t="inlineStr">
        <is>
          <t>Tenor (t)</t>
        </is>
      </c>
      <c r="B4" s="12" t="inlineStr">
        <is>
          <t>Stressed Liab Rate (r*_L)</t>
        </is>
      </c>
      <c r="C4" s="12" t="inlineStr">
        <is>
          <t>Stressed Asset Rate (r*_A)</t>
        </is>
      </c>
      <c r="D4" s="12" t="inlineStr">
        <is>
          <t>Stressed Liab DF</t>
        </is>
      </c>
      <c r="E4" s="12" t="inlineStr">
        <is>
          <t>Stressed Asset DF</t>
        </is>
      </c>
      <c r="F4" s="12" t="inlineStr">
        <is>
          <t>Stressed Asset PV ($M)</t>
        </is>
      </c>
      <c r="G4" s="12" t="inlineStr">
        <is>
          <t>Stressed Liab PV ($M)</t>
        </is>
      </c>
      <c r="H4" s="12" t="inlineStr">
        <is>
          <t>Tenor Surplus ($M)</t>
        </is>
      </c>
    </row>
    <row r="5">
      <c r="A5" s="13">
        <f>'02_Cash_Flows'!A5</f>
        <v/>
      </c>
      <c r="B5" s="20">
        <f>'01_Assumptions'!B12 + ('01_Assumptions'!E12/10000)</f>
        <v/>
      </c>
      <c r="C5" s="20">
        <f>'01_Assumptions'!B12 + ('01_Assumptions'!E12/10000) + ('01_Assumptions'!$B$6/10000) + ('01_Assumptions'!$B$20/10000)</f>
        <v/>
      </c>
      <c r="D5" s="25">
        <f>(1 + B5)^(-A5)</f>
        <v/>
      </c>
      <c r="E5" s="25">
        <f>(1 + C5)^(-A5)</f>
        <v/>
      </c>
      <c r="F5" s="21">
        <f>'02_Cash_Flows'!E5 * E5</f>
        <v/>
      </c>
      <c r="G5" s="21">
        <f>'02_Cash_Flows'!G5 * D5</f>
        <v/>
      </c>
      <c r="H5" s="22">
        <f>F5-G5</f>
        <v/>
      </c>
    </row>
    <row r="6">
      <c r="A6" s="13">
        <f>'02_Cash_Flows'!A6</f>
        <v/>
      </c>
      <c r="B6" s="20">
        <f>'01_Assumptions'!B13 + ('01_Assumptions'!E13/10000)</f>
        <v/>
      </c>
      <c r="C6" s="20">
        <f>'01_Assumptions'!B13 + ('01_Assumptions'!E13/10000) + ('01_Assumptions'!$B$6/10000) + ('01_Assumptions'!$B$20/10000)</f>
        <v/>
      </c>
      <c r="D6" s="25">
        <f>(1 + B6)^(-A6)</f>
        <v/>
      </c>
      <c r="E6" s="25">
        <f>(1 + C6)^(-A6)</f>
        <v/>
      </c>
      <c r="F6" s="21">
        <f>'02_Cash_Flows'!E6 * E6</f>
        <v/>
      </c>
      <c r="G6" s="21">
        <f>'02_Cash_Flows'!G6 * D6</f>
        <v/>
      </c>
      <c r="H6" s="22">
        <f>F6-G6</f>
        <v/>
      </c>
    </row>
    <row r="7">
      <c r="A7" s="13">
        <f>'02_Cash_Flows'!A7</f>
        <v/>
      </c>
      <c r="B7" s="20">
        <f>'01_Assumptions'!B14 + ('01_Assumptions'!E14/10000)</f>
        <v/>
      </c>
      <c r="C7" s="20">
        <f>'01_Assumptions'!B14 + ('01_Assumptions'!E14/10000) + ('01_Assumptions'!$B$6/10000) + ('01_Assumptions'!$B$20/10000)</f>
        <v/>
      </c>
      <c r="D7" s="25">
        <f>(1 + B7)^(-A7)</f>
        <v/>
      </c>
      <c r="E7" s="25">
        <f>(1 + C7)^(-A7)</f>
        <v/>
      </c>
      <c r="F7" s="21">
        <f>'02_Cash_Flows'!E7 * E7</f>
        <v/>
      </c>
      <c r="G7" s="21">
        <f>'02_Cash_Flows'!G7 * D7</f>
        <v/>
      </c>
      <c r="H7" s="22">
        <f>F7-G7</f>
        <v/>
      </c>
    </row>
    <row r="8">
      <c r="A8" s="13">
        <f>'02_Cash_Flows'!A8</f>
        <v/>
      </c>
      <c r="B8" s="20">
        <f>'01_Assumptions'!B15 + ('01_Assumptions'!E15/10000)</f>
        <v/>
      </c>
      <c r="C8" s="20">
        <f>'01_Assumptions'!B15 + ('01_Assumptions'!E15/10000) + ('01_Assumptions'!$B$6/10000) + ('01_Assumptions'!$B$20/10000)</f>
        <v/>
      </c>
      <c r="D8" s="25">
        <f>(1 + B8)^(-A8)</f>
        <v/>
      </c>
      <c r="E8" s="25">
        <f>(1 + C8)^(-A8)</f>
        <v/>
      </c>
      <c r="F8" s="21">
        <f>'02_Cash_Flows'!E8 * E8</f>
        <v/>
      </c>
      <c r="G8" s="21">
        <f>'02_Cash_Flows'!G8 * D8</f>
        <v/>
      </c>
      <c r="H8" s="22">
        <f>F8-G8</f>
        <v/>
      </c>
    </row>
    <row r="9">
      <c r="A9" s="13">
        <f>'02_Cash_Flows'!A9</f>
        <v/>
      </c>
      <c r="B9" s="20">
        <f>'01_Assumptions'!B16 + ('01_Assumptions'!E16/10000)</f>
        <v/>
      </c>
      <c r="C9" s="20">
        <f>'01_Assumptions'!B16 + ('01_Assumptions'!E16/10000) + ('01_Assumptions'!$B$6/10000) + ('01_Assumptions'!$B$20/10000)</f>
        <v/>
      </c>
      <c r="D9" s="25">
        <f>(1 + B9)^(-A9)</f>
        <v/>
      </c>
      <c r="E9" s="25">
        <f>(1 + C9)^(-A9)</f>
        <v/>
      </c>
      <c r="F9" s="21">
        <f>'02_Cash_Flows'!E9 * E9</f>
        <v/>
      </c>
      <c r="G9" s="21">
        <f>'02_Cash_Flows'!G9 * D9</f>
        <v/>
      </c>
      <c r="H9" s="22">
        <f>F9-G9</f>
        <v/>
      </c>
    </row>
    <row r="10">
      <c r="A10" s="14" t="inlineStr">
        <is>
          <t>PORTFOLIO TOTAL</t>
        </is>
      </c>
      <c r="B10" s="23" t="inlineStr">
        <is>
          <t>—</t>
        </is>
      </c>
      <c r="C10" s="23" t="inlineStr">
        <is>
          <t>—</t>
        </is>
      </c>
      <c r="D10" s="23" t="inlineStr">
        <is>
          <t>—</t>
        </is>
      </c>
      <c r="E10" s="23" t="inlineStr">
        <is>
          <t>—</t>
        </is>
      </c>
      <c r="F10" s="24">
        <f>SUM(F5:F9)</f>
        <v/>
      </c>
      <c r="G10" s="24">
        <f>SUM(G5:G9)</f>
        <v/>
      </c>
      <c r="H10" s="24">
        <f>SUM(H5:H9)</f>
        <v/>
      </c>
    </row>
    <row r="12">
      <c r="A12" s="2" t="inlineStr">
        <is>
          <t>SOLVENCY &amp; ECONOMIC CAPITAL SUMMARY</t>
        </is>
      </c>
    </row>
    <row r="13">
      <c r="A13" s="26" t="inlineStr">
        <is>
          <t>Stressed Economic Surplus ($M)</t>
        </is>
      </c>
      <c r="B13" s="22">
        <f>H10</f>
        <v/>
      </c>
    </row>
    <row r="14">
      <c r="A14" s="26" t="inlineStr">
        <is>
          <t>Stressed Economic Surplus Ratio (ESR)</t>
        </is>
      </c>
      <c r="B14" s="27">
        <f>H10/F10</f>
        <v/>
      </c>
    </row>
    <row r="15">
      <c r="A15" s="26" t="inlineStr">
        <is>
          <t>Baseline Economic Surplus ($M)</t>
        </is>
      </c>
      <c r="B15" s="22">
        <f>'01_Assumptions'!$B$4 * (1 - '01_Assumptions'!$B$5)</f>
        <v/>
      </c>
    </row>
    <row r="16">
      <c r="A16" s="26" t="inlineStr">
        <is>
          <t>Surplus Dollar Variance ($M)</t>
        </is>
      </c>
      <c r="B16" s="22">
        <f>B13-B15</f>
        <v/>
      </c>
    </row>
    <row r="17">
      <c r="A17" s="26" t="inlineStr">
        <is>
          <t>Surplus Percentage Shift (%)</t>
        </is>
      </c>
      <c r="B17" s="28">
        <f>(B13-B15)/B15</f>
        <v/>
      </c>
    </row>
  </sheetData>
  <mergeCells count="3">
    <mergeCell ref="A12:D12"/>
    <mergeCell ref="A3:H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4" customWidth="1" min="10" max="10"/>
    <col width="22" customWidth="1" min="11" max="11"/>
  </cols>
  <sheetData>
    <row r="1" ht="32" customHeight="1">
      <c r="A1" s="19" t="inlineStr">
        <is>
          <t>📐 Numerical Sensitivities, KRD Ladder &amp; Duration Gap</t>
        </is>
      </c>
    </row>
    <row r="3">
      <c r="A3" s="2" t="inlineStr">
        <is>
          <t>TWO-SIDED 1 BP CENTRAL DIFFERENCE BUMP LADDER (h = 0.0001)</t>
        </is>
      </c>
    </row>
    <row r="4">
      <c r="A4" s="12" t="inlineStr">
        <is>
          <t>Tenor</t>
        </is>
      </c>
      <c r="B4" s="12" t="inlineStr">
        <is>
          <t>Stressed r*_A</t>
        </is>
      </c>
      <c r="C4" s="12" t="inlineStr">
        <is>
          <t>PV_A (+1bp)</t>
        </is>
      </c>
      <c r="D4" s="12" t="inlineStr">
        <is>
          <t>PV_A (-1bp)</t>
        </is>
      </c>
      <c r="E4" s="12" t="inlineStr">
        <is>
          <t>Asset KRD</t>
        </is>
      </c>
      <c r="F4" s="12" t="inlineStr">
        <is>
          <t>Stressed r*_L</t>
        </is>
      </c>
      <c r="G4" s="12" t="inlineStr">
        <is>
          <t>PV_L (+1bp)</t>
        </is>
      </c>
      <c r="H4" s="12" t="inlineStr">
        <is>
          <t>PV_L (-1bp)</t>
        </is>
      </c>
      <c r="I4" s="12" t="inlineStr">
        <is>
          <t>Liab KRD</t>
        </is>
      </c>
      <c r="J4" s="12" t="inlineStr">
        <is>
          <t>Net Dollar DV01 ($M/bp)</t>
        </is>
      </c>
      <c r="K4" s="12" t="inlineStr">
        <is>
          <t>Tenor P&amp;L Impact ($M)</t>
        </is>
      </c>
    </row>
    <row r="5">
      <c r="A5" s="13">
        <f>'02_Cash_Flows'!A5</f>
        <v/>
      </c>
      <c r="B5" s="20">
        <f>'03_Valuation'!C5</f>
        <v/>
      </c>
      <c r="C5" s="29">
        <f>'02_Cash_Flows'!E5 / (1 + B5 + 0.0001)^A5</f>
        <v/>
      </c>
      <c r="D5" s="29">
        <f>'02_Cash_Flows'!E5 / (1 + B5 - 0.0001)^A5</f>
        <v/>
      </c>
      <c r="E5" s="30">
        <f>-(C5-D5) / (2 * '03_Valuation'!$F$10 * 0.0001)</f>
        <v/>
      </c>
      <c r="F5" s="20">
        <f>'03_Valuation'!B5</f>
        <v/>
      </c>
      <c r="G5" s="29">
        <f>'02_Cash_Flows'!G5 / (1 + F5 + 0.0001)^A5</f>
        <v/>
      </c>
      <c r="H5" s="29">
        <f>'02_Cash_Flows'!G5 / (1 + F5 - 0.0001)^A5</f>
        <v/>
      </c>
      <c r="I5" s="30">
        <f>-(G5-H5) / (2 * '03_Valuation'!$G$10 * 0.0001)</f>
        <v/>
      </c>
      <c r="J5" s="31">
        <f>'03_Valuation'!$G$10 * I5 - '03_Valuation'!$F$10 * E5</f>
        <v/>
      </c>
      <c r="K5" s="22">
        <f>J5 * ('01_Assumptions'!E12/10000)</f>
        <v/>
      </c>
    </row>
    <row r="6">
      <c r="A6" s="13">
        <f>'02_Cash_Flows'!A6</f>
        <v/>
      </c>
      <c r="B6" s="20">
        <f>'03_Valuation'!C6</f>
        <v/>
      </c>
      <c r="C6" s="29">
        <f>'02_Cash_Flows'!E6 / (1 + B6 + 0.0001)^A6</f>
        <v/>
      </c>
      <c r="D6" s="29">
        <f>'02_Cash_Flows'!E6 / (1 + B6 - 0.0001)^A6</f>
        <v/>
      </c>
      <c r="E6" s="30">
        <f>-(C6-D6) / (2 * '03_Valuation'!$F$10 * 0.0001)</f>
        <v/>
      </c>
      <c r="F6" s="20">
        <f>'03_Valuation'!B6</f>
        <v/>
      </c>
      <c r="G6" s="29">
        <f>'02_Cash_Flows'!G6 / (1 + F6 + 0.0001)^A6</f>
        <v/>
      </c>
      <c r="H6" s="29">
        <f>'02_Cash_Flows'!G6 / (1 + F6 - 0.0001)^A6</f>
        <v/>
      </c>
      <c r="I6" s="30">
        <f>-(G6-H6) / (2 * '03_Valuation'!$G$10 * 0.0001)</f>
        <v/>
      </c>
      <c r="J6" s="31">
        <f>'03_Valuation'!$G$10 * I6 - '03_Valuation'!$F$10 * E6</f>
        <v/>
      </c>
      <c r="K6" s="22">
        <f>J6 * ('01_Assumptions'!E13/10000)</f>
        <v/>
      </c>
    </row>
    <row r="7">
      <c r="A7" s="13">
        <f>'02_Cash_Flows'!A7</f>
        <v/>
      </c>
      <c r="B7" s="20">
        <f>'03_Valuation'!C7</f>
        <v/>
      </c>
      <c r="C7" s="29">
        <f>'02_Cash_Flows'!E7 / (1 + B7 + 0.0001)^A7</f>
        <v/>
      </c>
      <c r="D7" s="29">
        <f>'02_Cash_Flows'!E7 / (1 + B7 - 0.0001)^A7</f>
        <v/>
      </c>
      <c r="E7" s="30">
        <f>-(C7-D7) / (2 * '03_Valuation'!$F$10 * 0.0001)</f>
        <v/>
      </c>
      <c r="F7" s="20">
        <f>'03_Valuation'!B7</f>
        <v/>
      </c>
      <c r="G7" s="29">
        <f>'02_Cash_Flows'!G7 / (1 + F7 + 0.0001)^A7</f>
        <v/>
      </c>
      <c r="H7" s="29">
        <f>'02_Cash_Flows'!G7 / (1 + F7 - 0.0001)^A7</f>
        <v/>
      </c>
      <c r="I7" s="30">
        <f>-(G7-H7) / (2 * '03_Valuation'!$G$10 * 0.0001)</f>
        <v/>
      </c>
      <c r="J7" s="31">
        <f>'03_Valuation'!$G$10 * I7 - '03_Valuation'!$F$10 * E7</f>
        <v/>
      </c>
      <c r="K7" s="22">
        <f>J7 * ('01_Assumptions'!E14/10000)</f>
        <v/>
      </c>
    </row>
    <row r="8">
      <c r="A8" s="13">
        <f>'02_Cash_Flows'!A8</f>
        <v/>
      </c>
      <c r="B8" s="20">
        <f>'03_Valuation'!C8</f>
        <v/>
      </c>
      <c r="C8" s="29">
        <f>'02_Cash_Flows'!E8 / (1 + B8 + 0.0001)^A8</f>
        <v/>
      </c>
      <c r="D8" s="29">
        <f>'02_Cash_Flows'!E8 / (1 + B8 - 0.0001)^A8</f>
        <v/>
      </c>
      <c r="E8" s="30">
        <f>-(C8-D8) / (2 * '03_Valuation'!$F$10 * 0.0001)</f>
        <v/>
      </c>
      <c r="F8" s="20">
        <f>'03_Valuation'!B8</f>
        <v/>
      </c>
      <c r="G8" s="29">
        <f>'02_Cash_Flows'!G8 / (1 + F8 + 0.0001)^A8</f>
        <v/>
      </c>
      <c r="H8" s="29">
        <f>'02_Cash_Flows'!G8 / (1 + F8 - 0.0001)^A8</f>
        <v/>
      </c>
      <c r="I8" s="30">
        <f>-(G8-H8) / (2 * '03_Valuation'!$G$10 * 0.0001)</f>
        <v/>
      </c>
      <c r="J8" s="31">
        <f>'03_Valuation'!$G$10 * I8 - '03_Valuation'!$F$10 * E8</f>
        <v/>
      </c>
      <c r="K8" s="22">
        <f>J8 * ('01_Assumptions'!E15/10000)</f>
        <v/>
      </c>
    </row>
    <row r="9">
      <c r="A9" s="13">
        <f>'02_Cash_Flows'!A9</f>
        <v/>
      </c>
      <c r="B9" s="20">
        <f>'03_Valuation'!C9</f>
        <v/>
      </c>
      <c r="C9" s="29">
        <f>'02_Cash_Flows'!E9 / (1 + B9 + 0.0001)^A9</f>
        <v/>
      </c>
      <c r="D9" s="29">
        <f>'02_Cash_Flows'!E9 / (1 + B9 - 0.0001)^A9</f>
        <v/>
      </c>
      <c r="E9" s="30">
        <f>-(C9-D9) / (2 * '03_Valuation'!$F$10 * 0.0001)</f>
        <v/>
      </c>
      <c r="F9" s="20">
        <f>'03_Valuation'!B9</f>
        <v/>
      </c>
      <c r="G9" s="29">
        <f>'02_Cash_Flows'!G9 / (1 + F9 + 0.0001)^A9</f>
        <v/>
      </c>
      <c r="H9" s="29">
        <f>'02_Cash_Flows'!G9 / (1 + F9 - 0.0001)^A9</f>
        <v/>
      </c>
      <c r="I9" s="30">
        <f>-(G9-H9) / (2 * '03_Valuation'!$G$10 * 0.0001)</f>
        <v/>
      </c>
      <c r="J9" s="31">
        <f>'03_Valuation'!$G$10 * I9 - '03_Valuation'!$F$10 * E9</f>
        <v/>
      </c>
      <c r="K9" s="22">
        <f>J9 * ('01_Assumptions'!E16/10000)</f>
        <v/>
      </c>
    </row>
    <row r="10">
      <c r="A10" s="14" t="inlineStr">
        <is>
          <t>PORTFOLIO TOTAL</t>
        </is>
      </c>
      <c r="B10" s="23" t="inlineStr">
        <is>
          <t>—</t>
        </is>
      </c>
      <c r="C10" s="23" t="inlineStr">
        <is>
          <t>—</t>
        </is>
      </c>
      <c r="D10" s="23" t="inlineStr">
        <is>
          <t>—</t>
        </is>
      </c>
      <c r="E10" s="32">
        <f>SUM(E5:E9)</f>
        <v/>
      </c>
      <c r="F10" s="23" t="inlineStr">
        <is>
          <t>—</t>
        </is>
      </c>
      <c r="G10" s="23" t="inlineStr">
        <is>
          <t>—</t>
        </is>
      </c>
      <c r="H10" s="23" t="inlineStr">
        <is>
          <t>—</t>
        </is>
      </c>
      <c r="I10" s="32">
        <f>SUM(I5:I9)</f>
        <v/>
      </c>
      <c r="J10" s="33">
        <f>SUM(J5:J9)</f>
        <v/>
      </c>
      <c r="K10" s="24">
        <f>SUM(K5:K9)</f>
        <v/>
      </c>
    </row>
    <row r="12">
      <c r="A12" s="2" t="inlineStr">
        <is>
          <t>PORTFOLIO DURATION GAP &amp; SURPLUS SENSITIVITY</t>
        </is>
      </c>
    </row>
    <row r="13">
      <c r="A13" s="26" t="inlineStr">
        <is>
          <t>Asset Effective Duration (D*_A)</t>
        </is>
      </c>
      <c r="B13" s="34">
        <f>E10</f>
        <v/>
      </c>
    </row>
    <row r="14">
      <c r="A14" s="26" t="inlineStr">
        <is>
          <t>Liability Effective Duration (D*_L)</t>
        </is>
      </c>
      <c r="B14" s="34">
        <f>I10</f>
        <v/>
      </c>
    </row>
    <row r="15">
      <c r="A15" s="26" t="inlineStr">
        <is>
          <t>Liability Leverage Ratio (q*)</t>
        </is>
      </c>
      <c r="B15" s="35">
        <f>'03_Valuation'!G10 / '03_Valuation'!F10</f>
        <v/>
      </c>
    </row>
    <row r="16">
      <c r="A16" s="26" t="inlineStr">
        <is>
          <t>Duration Gap (DG* = D_A - q*D_L)</t>
        </is>
      </c>
      <c r="B16" s="34">
        <f>B13 - B15 * B14</f>
        <v/>
      </c>
    </row>
    <row r="17">
      <c r="A17" s="26" t="inlineStr">
        <is>
          <t>Signed Surplus DV01 (DV01_S in $M/bp)</t>
        </is>
      </c>
      <c r="B17" s="36">
        <f>('03_Valuation'!G10 * B14 * 0.0001) - ('03_Valuation'!F10 * B13 * 0.0001)</f>
        <v/>
      </c>
    </row>
    <row r="18">
      <c r="A18" s="26" t="inlineStr">
        <is>
          <t>Signed Surplus DV01 (in $K/bp)</t>
        </is>
      </c>
      <c r="B18" s="37">
        <f>B17 * 1000</f>
        <v/>
      </c>
    </row>
  </sheetData>
  <mergeCells count="3">
    <mergeCell ref="A12:D12"/>
    <mergeCell ref="A1:K1"/>
    <mergeCell ref="A3:K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22" customWidth="1" min="4" max="4"/>
  </cols>
  <sheetData>
    <row r="1" ht="32" customHeight="1">
      <c r="A1" s="19" t="inlineStr">
        <is>
          <t>📈 Ongoing Earnings, Net Interest Margin &amp; Spread Economics</t>
        </is>
      </c>
    </row>
    <row r="3">
      <c r="A3" s="2" t="inlineStr">
        <is>
          <t>ACCRUAL EARNINGS VS FUNDING EXPENSE LEDGER</t>
        </is>
      </c>
    </row>
    <row r="4">
      <c r="A4" s="12" t="inlineStr">
        <is>
          <t>Earnings Line Item</t>
        </is>
      </c>
      <c r="B4" s="12" t="inlineStr">
        <is>
          <t>Baseline</t>
        </is>
      </c>
      <c r="C4" s="12" t="inlineStr">
        <is>
          <t>Stressed</t>
        </is>
      </c>
      <c r="D4" s="12" t="inlineStr">
        <is>
          <t>Variance ($M / bps)</t>
        </is>
      </c>
    </row>
    <row r="5">
      <c r="A5" s="7" t="inlineStr">
        <is>
          <t>Asset Earned Yield (%)</t>
        </is>
      </c>
      <c r="B5" s="20">
        <f>'01_Assumptions'!B7</f>
        <v/>
      </c>
      <c r="C5" s="27">
        <f>B5 + ('01_Assumptions'!$B$21/10000)</f>
        <v/>
      </c>
      <c r="D5" s="38">
        <f>(C5-B5)*10000</f>
        <v/>
      </c>
    </row>
    <row r="6">
      <c r="A6" s="7" t="inlineStr">
        <is>
          <t>Funding / Liability Cost (%)</t>
        </is>
      </c>
      <c r="B6" s="20">
        <f>'01_Assumptions'!B8</f>
        <v/>
      </c>
      <c r="C6" s="27">
        <f>B6 + ('01_Assumptions'!$B$22/10000)</f>
        <v/>
      </c>
      <c r="D6" s="38">
        <f>(C6-B6)*10000</f>
        <v/>
      </c>
    </row>
    <row r="7">
      <c r="A7" s="3" t="inlineStr">
        <is>
          <t>Net Interest Spread Margin (%)</t>
        </is>
      </c>
      <c r="B7" s="20">
        <f>B5-B6</f>
        <v/>
      </c>
      <c r="C7" s="27">
        <f>C5-C6</f>
        <v/>
      </c>
      <c r="D7" s="38">
        <f>(C7-B7)*10000</f>
        <v/>
      </c>
    </row>
    <row r="8">
      <c r="A8" s="7" t="inlineStr">
        <is>
          <t>Gross Annual Asset Income ($M)</t>
        </is>
      </c>
      <c r="B8" s="29">
        <f>'01_Assumptions'!$B$4 * B5</f>
        <v/>
      </c>
      <c r="C8" s="22">
        <f>'01_Assumptions'!$B$4 * C5</f>
        <v/>
      </c>
      <c r="D8" s="29">
        <f>C8-B8</f>
        <v/>
      </c>
    </row>
    <row r="9">
      <c r="A9" s="7" t="inlineStr">
        <is>
          <t>Annual Liability Funding Expense ($M)</t>
        </is>
      </c>
      <c r="B9" s="29">
        <f>'01_Assumptions'!$B$4 * '01_Assumptions'!$B$5 * B6</f>
        <v/>
      </c>
      <c r="C9" s="22">
        <f>'01_Assumptions'!$B$4 * '01_Assumptions'!$B$5 * C6</f>
        <v/>
      </c>
      <c r="D9" s="29">
        <f>C9-B9</f>
        <v/>
      </c>
    </row>
    <row r="10">
      <c r="A10" s="3" t="inlineStr">
        <is>
          <t>Annual Net Spread Income (NII) ($M)</t>
        </is>
      </c>
      <c r="B10" s="22">
        <f>B8-B9</f>
        <v/>
      </c>
      <c r="C10" s="21">
        <f>C8-C9</f>
        <v/>
      </c>
      <c r="D10" s="22">
        <f>C10-B10</f>
        <v/>
      </c>
    </row>
    <row r="11">
      <c r="A11" s="3" t="inlineStr">
        <is>
          <t>NII Percentage Shift (%)</t>
        </is>
      </c>
      <c r="B11" s="28" t="inlineStr">
        <is>
          <t>—</t>
        </is>
      </c>
      <c r="C11" s="39">
        <f>(C10-B10)/B10</f>
        <v/>
      </c>
      <c r="D11" s="40" t="inlineStr">
        <is>
          <t>—</t>
        </is>
      </c>
    </row>
  </sheetData>
  <mergeCells count="2">
    <mergeCell ref="A1:D1"/>
    <mergeCell ref="A3:D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2" customHeight="1">
      <c r="A1" s="19" t="inlineStr">
        <is>
          <t>🏛️ ALCO Executive Balance Sheet &amp; Risk Committee Dashboard</t>
        </is>
      </c>
    </row>
    <row r="3">
      <c r="A3" s="2" t="inlineStr">
        <is>
          <t>EXECUTIVE DECISION METRICS (Live Linked to Calculation Engine)</t>
        </is>
      </c>
    </row>
    <row r="5">
      <c r="A5" s="41" t="inlineStr">
        <is>
          <t>ECONOMIC SURPLUS ($M)</t>
        </is>
      </c>
      <c r="B5" s="42" t="n"/>
      <c r="C5" s="42" t="n"/>
      <c r="D5" s="41" t="inlineStr">
        <is>
          <t>ECONOMIC SURPLUS RATIO (ESR)</t>
        </is>
      </c>
      <c r="E5" s="42" t="n"/>
      <c r="F5" s="42" t="n"/>
    </row>
    <row r="6">
      <c r="A6" s="43">
        <f>'03_Valuation'!B13</f>
        <v/>
      </c>
      <c r="B6" s="42" t="n"/>
      <c r="C6" s="42" t="n"/>
      <c r="D6" s="44">
        <f>'03_Valuation'!B14</f>
        <v/>
      </c>
      <c r="E6" s="42" t="n"/>
      <c r="F6" s="42" t="n"/>
    </row>
    <row r="7">
      <c r="A7" s="45" t="inlineStr">
        <is>
          <t>Capital net worth cushion</t>
        </is>
      </c>
      <c r="B7" s="42" t="n"/>
      <c r="C7" s="42" t="n"/>
      <c r="D7" s="45" t="inlineStr">
        <is>
          <t>Solvency buffer (Surplus / Asset PV)</t>
        </is>
      </c>
      <c r="E7" s="42" t="n"/>
      <c r="F7" s="42" t="n"/>
    </row>
    <row r="8">
      <c r="A8" s="41" t="inlineStr">
        <is>
          <t>ANNUAL SPREAD INCOME (NII)</t>
        </is>
      </c>
      <c r="B8" s="42" t="n"/>
      <c r="C8" s="42" t="n"/>
      <c r="D8" s="41" t="inlineStr">
        <is>
          <t>DURATION GAP</t>
        </is>
      </c>
      <c r="E8" s="42" t="n"/>
      <c r="F8" s="42" t="n"/>
    </row>
    <row r="9">
      <c r="A9" s="43">
        <f>'05_Earnings_Spread'!C10</f>
        <v/>
      </c>
      <c r="B9" s="42" t="n"/>
      <c r="C9" s="42" t="n"/>
      <c r="D9" s="46">
        <f>'04_Sensitivities_KRD'!B16</f>
        <v/>
      </c>
      <c r="E9" s="42" t="n"/>
      <c r="F9" s="42" t="n"/>
    </row>
    <row r="10">
      <c r="A10" s="45" t="inlineStr">
        <is>
          <t>Annual cash operating income</t>
        </is>
      </c>
      <c r="B10" s="42" t="n"/>
      <c r="C10" s="42" t="n"/>
      <c r="D10" s="45" t="inlineStr">
        <is>
          <t>Net interest rate exposure mismatch</t>
        </is>
      </c>
      <c r="E10" s="42" t="n"/>
      <c r="F10" s="42" t="n"/>
    </row>
    <row r="11">
      <c r="A11" s="41" t="inlineStr">
        <is>
          <t>SURPLUS DV01</t>
        </is>
      </c>
      <c r="B11" s="42" t="n"/>
      <c r="C11" s="42" t="n"/>
      <c r="D11" s="41" t="inlineStr">
        <is>
          <t>ASSET MARKET VALUE</t>
        </is>
      </c>
      <c r="E11" s="42" t="n"/>
      <c r="F11" s="42" t="n"/>
    </row>
    <row r="12">
      <c r="A12" s="47">
        <f>'04_Sensitivities_KRD'!B18</f>
        <v/>
      </c>
      <c r="B12" s="42" t="n"/>
      <c r="C12" s="42" t="n"/>
      <c r="D12" s="43">
        <f>'03_Valuation'!F10</f>
        <v/>
      </c>
      <c r="E12" s="42" t="n"/>
      <c r="F12" s="42" t="n"/>
    </row>
    <row r="13">
      <c r="A13" s="45" t="inlineStr">
        <is>
          <t>Surplus change per +1 bp rate hike</t>
        </is>
      </c>
      <c r="B13" s="42" t="n"/>
      <c r="C13" s="42" t="n"/>
      <c r="D13" s="45" t="inlineStr">
        <is>
          <t>Mark-to-market asset valuation</t>
        </is>
      </c>
      <c r="E13" s="42" t="n"/>
      <c r="F13" s="42" t="n"/>
    </row>
    <row r="14">
      <c r="A14" s="41" t="inlineStr">
        <is>
          <t>LIABILITY PRESENT VALUE</t>
        </is>
      </c>
      <c r="B14" s="42" t="n"/>
      <c r="C14" s="42" t="n"/>
      <c r="D14" s="41" t="inlineStr">
        <is>
          <t>NET INTEREST SPREAD</t>
        </is>
      </c>
      <c r="E14" s="42" t="n"/>
      <c r="F14" s="42" t="n"/>
    </row>
    <row r="15">
      <c r="A15" s="43">
        <f>'03_Valuation'!G10</f>
        <v/>
      </c>
      <c r="B15" s="42" t="n"/>
      <c r="C15" s="42" t="n"/>
      <c r="D15" s="44">
        <f>'05_Earnings_Spread'!C7</f>
        <v/>
      </c>
      <c r="E15" s="42" t="n"/>
      <c r="F15" s="42" t="n"/>
    </row>
    <row r="16">
      <c r="A16" s="45" t="inlineStr">
        <is>
          <t>Contractual obligations present value</t>
        </is>
      </c>
      <c r="B16" s="42" t="n"/>
      <c r="C16" s="42" t="n"/>
      <c r="D16" s="45" t="inlineStr">
        <is>
          <t>Earned yield minus funding cost</t>
        </is>
      </c>
      <c r="E16" s="42" t="n"/>
      <c r="F16" s="42" t="n"/>
    </row>
    <row r="18">
      <c r="A18" s="2" t="inlineStr">
        <is>
          <t>RISK COMMITTEE GOVERNANCE &amp; LIMIT COMPLIANCE</t>
        </is>
      </c>
    </row>
    <row r="19">
      <c r="A19" s="3" t="inlineStr">
        <is>
          <t>Risk Committee Status</t>
        </is>
      </c>
      <c r="B19" s="13">
        <f>IF('03_Valuation'!B14&lt;0.05, "ELEVATED", IF('03_Valuation'!B14&lt;0.08, "WATCH", "STABLE"))</f>
        <v/>
      </c>
      <c r="C19" s="42" t="n"/>
      <c r="D19" s="8" t="inlineStr">
        <is>
          <t>ESR Thresholds: STABLE (&gt;=8%), WATCH (5-8%), ELEVATED (&lt;5%)</t>
        </is>
      </c>
      <c r="E19" s="42" t="n"/>
      <c r="F19" s="42" t="n"/>
    </row>
    <row r="20">
      <c r="A20" s="3" t="inlineStr">
        <is>
          <t>Solvency Limit Breach?</t>
        </is>
      </c>
      <c r="B20" s="13">
        <f>IF('03_Valuation'!B14&lt;0.05, "YES - ESCALATE TO ALCO", "NO - WITHIN LIMITS")</f>
        <v/>
      </c>
      <c r="C20" s="42" t="n"/>
      <c r="D20" s="8" t="inlineStr">
        <is>
          <t>Minimum capital threshold 5.0%</t>
        </is>
      </c>
      <c r="E20" s="42" t="n"/>
      <c r="F20" s="42" t="n"/>
    </row>
    <row r="21">
      <c r="A21" s="3" t="inlineStr">
        <is>
          <t>Earnings Compression Alert</t>
        </is>
      </c>
      <c r="B21" s="13">
        <f>IF('05_Earnings_Spread'!C11&lt;-0.15, "YES - EARNINGS STRESSED", "NORMAL")</f>
        <v/>
      </c>
      <c r="C21" s="42" t="n"/>
      <c r="D21" s="8" t="inlineStr">
        <is>
          <t>Alert if NII drops &gt; 15%</t>
        </is>
      </c>
      <c r="E21" s="42" t="n"/>
      <c r="F21" s="42" t="n"/>
    </row>
  </sheetData>
  <mergeCells count="33">
    <mergeCell ref="D11:F11"/>
    <mergeCell ref="D13:F13"/>
    <mergeCell ref="A18:F18"/>
    <mergeCell ref="D7:F7"/>
    <mergeCell ref="A12:C12"/>
    <mergeCell ref="A3:F3"/>
    <mergeCell ref="D16:F16"/>
    <mergeCell ref="B21:C21"/>
    <mergeCell ref="A5:C5"/>
    <mergeCell ref="A8:C8"/>
    <mergeCell ref="A14:C14"/>
    <mergeCell ref="D12:F12"/>
    <mergeCell ref="D9:F9"/>
    <mergeCell ref="D8:F8"/>
    <mergeCell ref="D15:F15"/>
    <mergeCell ref="A10:C10"/>
    <mergeCell ref="A13:C13"/>
    <mergeCell ref="D14:F14"/>
    <mergeCell ref="D5:F5"/>
    <mergeCell ref="B19:C19"/>
    <mergeCell ref="A9:C9"/>
    <mergeCell ref="A15:C15"/>
    <mergeCell ref="D20:F20"/>
    <mergeCell ref="D10:F10"/>
    <mergeCell ref="D19:F19"/>
    <mergeCell ref="A11:C11"/>
    <mergeCell ref="A1:F1"/>
    <mergeCell ref="B20:C20"/>
    <mergeCell ref="A6:C6"/>
    <mergeCell ref="D21:F21"/>
    <mergeCell ref="A7:C7"/>
    <mergeCell ref="D6:F6"/>
    <mergeCell ref="A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2026-08-31T16:03:02Z</dcterms:created>
  <dcterms:modified xmlns:dcterms="http://purl.org/dc/terms/" xmlns:xsi="http://www.w3.org/2001/XMLSchema-instance" xsi:type="dcterms:W3CDTF">2026-08-31T16:03:02Z</dcterms:modified>
</cp:coreProperties>
</file>